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ydiaFrasca\Box\L Drive\Shared\Compensation Guidelines\"/>
    </mc:Choice>
  </mc:AlternateContent>
  <xr:revisionPtr revIDLastSave="0" documentId="13_ncr:1_{3F129880-B5D8-4CDE-967F-0C04DCA2B237}" xr6:coauthVersionLast="47" xr6:coauthVersionMax="47" xr10:uidLastSave="{00000000-0000-0000-0000-000000000000}"/>
  <bookViews>
    <workbookView xWindow="2730" yWindow="2730" windowWidth="21600" windowHeight="11295" activeTab="1" xr2:uid="{00000000-000D-0000-FFFF-FFFF00000000}"/>
  </bookViews>
  <sheets>
    <sheet name="With Parsonage" sheetId="1" r:id="rId1"/>
    <sheet name="With Housing Allowance" sheetId="2" r:id="rId2"/>
    <sheet name="Health-Dental Rates NH" sheetId="3" r:id="rId3"/>
    <sheet name="Sheet1" sheetId="4" state="hidden" r:id="rId4"/>
  </sheets>
  <definedNames>
    <definedName name="Membership">Sheet1!$B$1:$C$32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1" l="1"/>
  <c r="I13" i="1"/>
  <c r="I15" i="1"/>
  <c r="I14" i="2"/>
  <c r="I12" i="2"/>
  <c r="C23" i="4"/>
  <c r="C24" i="4"/>
  <c r="C25" i="4"/>
  <c r="C26" i="4"/>
  <c r="C28" i="4"/>
  <c r="C27" i="4"/>
  <c r="C29" i="4"/>
  <c r="C30" i="4"/>
  <c r="C31" i="4"/>
  <c r="C32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B3" i="2"/>
  <c r="I36" i="2"/>
  <c r="I34" i="2"/>
  <c r="I16" i="2"/>
  <c r="I34" i="1"/>
  <c r="I32" i="1"/>
  <c r="I19" i="2" l="1"/>
  <c r="I21" i="2" s="1"/>
  <c r="I23" i="2" s="1"/>
  <c r="I26" i="2" s="1"/>
  <c r="I18" i="1"/>
  <c r="I36" i="1" s="1"/>
  <c r="I31" i="2" l="1"/>
  <c r="I29" i="2"/>
  <c r="I38" i="2" s="1"/>
  <c r="I24" i="1"/>
  <c r="I29" i="1"/>
  <c r="I27" i="1"/>
  <c r="I38" i="1" l="1"/>
</calcChain>
</file>

<file path=xl/sharedStrings.xml><?xml version="1.0" encoding="utf-8"?>
<sst xmlns="http://schemas.openxmlformats.org/spreadsheetml/2006/main" count="119" uniqueCount="71">
  <si>
    <t>New Hampshire Conference of the United Church of Christ</t>
  </si>
  <si>
    <t>For Full-Time Clergy with Parsonage Provided</t>
  </si>
  <si>
    <t>Annual Compensation</t>
  </si>
  <si>
    <t>Minimum Cash Salary for Full-time Ministry</t>
  </si>
  <si>
    <t>Your Pastor's Years in Ministry Since Ordination</t>
  </si>
  <si>
    <t>&gt;</t>
  </si>
  <si>
    <t>$800 per year up to a maximum of 15 years</t>
  </si>
  <si>
    <t>Your Church's Official Membership</t>
  </si>
  <si>
    <t>For every 100 members, $2,500 added to salary</t>
  </si>
  <si>
    <t>Number of Earned Academic Ministry Degrees Beyond M. Div</t>
  </si>
  <si>
    <t>$1,000 per earned degree</t>
  </si>
  <si>
    <t>Total Cash Salary</t>
  </si>
  <si>
    <t>Parsonage Annual Fair Rental Value (FRV)</t>
  </si>
  <si>
    <t>As determined for Social Security and Federal income tax purposes.</t>
  </si>
  <si>
    <t>See 'Clergy Compensation Guidelines' regarding a parsonage.</t>
  </si>
  <si>
    <t>Benefits:</t>
  </si>
  <si>
    <t>Social Security Offset (this is a taxable cash benefit)</t>
  </si>
  <si>
    <t>(These are non-taxable benefits)</t>
  </si>
  <si>
    <t>Pension Boards Annuity</t>
  </si>
  <si>
    <t>Pension Boards Term Life &amp; Disability Insurance</t>
  </si>
  <si>
    <t>Monthly rate</t>
  </si>
  <si>
    <t>Annual Medical Insurance Premiums</t>
  </si>
  <si>
    <t>Annual Dental Insurance Premiums</t>
  </si>
  <si>
    <t>Housing Equity Benefit %</t>
  </si>
  <si>
    <t>% of (cash Salary + FRV of parsonage)</t>
  </si>
  <si>
    <t>Total Pastoral leadership Cost</t>
  </si>
  <si>
    <t>For Full-Time Clergy with Housing Allowance</t>
  </si>
  <si>
    <t>Total Base Salary</t>
  </si>
  <si>
    <r>
      <t xml:space="preserve">for purposes of calculating compensation before benefits </t>
    </r>
    <r>
      <rPr>
        <b/>
        <u/>
        <sz val="9"/>
        <color theme="1"/>
        <rFont val="Arial"/>
        <family val="2"/>
      </rPr>
      <t>only</t>
    </r>
    <r>
      <rPr>
        <b/>
        <sz val="9"/>
        <color theme="1"/>
        <rFont val="Arial"/>
        <family val="2"/>
      </rPr>
      <t>.</t>
    </r>
  </si>
  <si>
    <t>See 'Clergy Compensation Guidelines' regarding housing allowance.</t>
  </si>
  <si>
    <t>Total Compensation Before Benefits</t>
  </si>
  <si>
    <t>7.65% X (base salary + housing allowance)</t>
  </si>
  <si>
    <t>14.0% X (base salary + housing allowance)</t>
  </si>
  <si>
    <t>1.5% X (base salary + housing allowance)</t>
  </si>
  <si>
    <t>NEW HAMPSHIRE PENSION BOARDS INSURANCE</t>
  </si>
  <si>
    <t>HEALTH PLAN A</t>
  </si>
  <si>
    <t>One Adult</t>
  </si>
  <si>
    <t>Two Adults</t>
  </si>
  <si>
    <t>1 Adult with Child(ren)</t>
  </si>
  <si>
    <t>Two Adults with Child(ren)</t>
  </si>
  <si>
    <t>AGE:</t>
  </si>
  <si>
    <t>41 and older</t>
  </si>
  <si>
    <t>35 through 39</t>
  </si>
  <si>
    <t>30 through 34</t>
  </si>
  <si>
    <t>25 through 29</t>
  </si>
  <si>
    <t>under 25</t>
  </si>
  <si>
    <t>Adult(s)</t>
  </si>
  <si>
    <t>with Medicare Child(ren)</t>
  </si>
  <si>
    <t>with Non-Medicare Child(ren)</t>
  </si>
  <si>
    <t>One Medicare Adult</t>
  </si>
  <si>
    <t>Two Medicare Adults</t>
  </si>
  <si>
    <t>Two Adults, one Medicare and one Non-Medicare</t>
  </si>
  <si>
    <t>In medical plan</t>
  </si>
  <si>
    <t>Not in medical plan</t>
  </si>
  <si>
    <r>
      <rPr>
        <b/>
        <sz val="11"/>
        <color rgb="FFFF0000"/>
        <rFont val="Calibri"/>
        <family val="2"/>
        <scheme val="minor"/>
      </rPr>
      <t>The Above Rates Are Monthly</t>
    </r>
    <r>
      <rPr>
        <sz val="11"/>
        <color rgb="FFFF0000"/>
        <rFont val="Calibri"/>
        <family val="2"/>
        <scheme val="minor"/>
      </rPr>
      <t>.  Multiply by 12 for the Annual Rate.</t>
    </r>
  </si>
  <si>
    <t>Vision Plan</t>
  </si>
  <si>
    <t>Annual Rate</t>
  </si>
  <si>
    <t>Dental Plan</t>
  </si>
  <si>
    <t>Fair Rental Value</t>
  </si>
  <si>
    <t>Membership</t>
  </si>
  <si>
    <t>Compensation</t>
  </si>
  <si>
    <t>Housing Allowance Guideline - 40% of base salary</t>
  </si>
  <si>
    <t xml:space="preserve">14.0% X (130% of cash Salary) </t>
  </si>
  <si>
    <t>7.65% X (130% of cash Salary)</t>
  </si>
  <si>
    <t>1.5% X (130% cash Salary)</t>
  </si>
  <si>
    <t>See chart on 'Health-Dental Rates NH' tab</t>
  </si>
  <si>
    <t>Includes value of Parsonage as 30% of Salary</t>
  </si>
  <si>
    <t>MEDICARE ADVANTAGE PLAN with Rx for Working Participants</t>
  </si>
  <si>
    <t>MONTHLY RATES FOR 2026</t>
  </si>
  <si>
    <t>Clergy Compensation Guideline Calculator for 2026</t>
  </si>
  <si>
    <t>The Vision Plan year begins January 1, 2026 and ends December 31,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</si>
</sst>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%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u/>
      <sz val="9"/>
      <color theme="1"/>
      <name val="Arial"/>
      <family val="2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3">
    <xf numFmtId="0" fontId="0" fillId="0" borderId="0" xfId="0"/>
    <xf numFmtId="164" fontId="8" fillId="0" borderId="0" xfId="1" applyNumberFormat="1" applyFont="1" applyProtection="1"/>
    <xf numFmtId="0" fontId="5" fillId="2" borderId="1" xfId="0" applyFont="1" applyFill="1" applyBorder="1" applyAlignment="1" applyProtection="1">
      <alignment horizontal="center"/>
      <protection locked="0"/>
    </xf>
    <xf numFmtId="164" fontId="8" fillId="0" borderId="2" xfId="1" applyNumberFormat="1" applyFont="1" applyBorder="1" applyProtection="1"/>
    <xf numFmtId="164" fontId="5" fillId="0" borderId="0" xfId="1" applyNumberFormat="1" applyFont="1" applyProtection="1"/>
    <xf numFmtId="164" fontId="5" fillId="2" borderId="1" xfId="1" applyNumberFormat="1" applyFont="1" applyFill="1" applyBorder="1" applyProtection="1">
      <protection locked="0"/>
    </xf>
    <xf numFmtId="44" fontId="5" fillId="2" borderId="1" xfId="1" applyFont="1" applyFill="1" applyBorder="1" applyProtection="1">
      <protection locked="0"/>
    </xf>
    <xf numFmtId="165" fontId="5" fillId="2" borderId="1" xfId="0" applyNumberFormat="1" applyFont="1" applyFill="1" applyBorder="1" applyAlignment="1" applyProtection="1">
      <alignment horizontal="center"/>
      <protection locked="0"/>
    </xf>
    <xf numFmtId="44" fontId="8" fillId="0" borderId="0" xfId="1" applyFont="1" applyProtection="1"/>
    <xf numFmtId="164" fontId="8" fillId="0" borderId="3" xfId="1" applyNumberFormat="1" applyFont="1" applyBorder="1" applyProtection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44" fontId="0" fillId="0" borderId="1" xfId="1" applyFont="1" applyBorder="1"/>
    <xf numFmtId="0" fontId="15" fillId="0" borderId="0" xfId="0" applyFont="1" applyAlignment="1">
      <alignment horizontal="center"/>
    </xf>
    <xf numFmtId="44" fontId="0" fillId="0" borderId="0" xfId="1" applyFont="1" applyBorder="1"/>
    <xf numFmtId="0" fontId="3" fillId="0" borderId="1" xfId="0" applyFont="1" applyBorder="1" applyAlignment="1">
      <alignment horizontal="center"/>
    </xf>
    <xf numFmtId="44" fontId="3" fillId="0" borderId="1" xfId="1" applyFont="1" applyBorder="1" applyAlignment="1">
      <alignment horizontal="center" wrapText="1"/>
    </xf>
    <xf numFmtId="0" fontId="0" fillId="0" borderId="6" xfId="0" applyBorder="1"/>
    <xf numFmtId="0" fontId="0" fillId="0" borderId="7" xfId="0" applyBorder="1"/>
    <xf numFmtId="44" fontId="0" fillId="0" borderId="1" xfId="1" applyFont="1" applyBorder="1" applyAlignment="1">
      <alignment horizontal="center" wrapText="1"/>
    </xf>
    <xf numFmtId="0" fontId="0" fillId="0" borderId="8" xfId="0" applyBorder="1"/>
    <xf numFmtId="44" fontId="0" fillId="0" borderId="9" xfId="1" applyFont="1" applyBorder="1"/>
    <xf numFmtId="0" fontId="0" fillId="0" borderId="10" xfId="0" applyBorder="1" applyAlignment="1">
      <alignment horizontal="left" wrapText="1"/>
    </xf>
    <xf numFmtId="44" fontId="0" fillId="0" borderId="10" xfId="1" applyFont="1" applyBorder="1"/>
    <xf numFmtId="0" fontId="16" fillId="0" borderId="1" xfId="0" applyFont="1" applyBorder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17" fillId="0" borderId="1" xfId="0" applyFont="1" applyBorder="1" applyAlignment="1">
      <alignment horizontal="center"/>
    </xf>
    <xf numFmtId="0" fontId="15" fillId="0" borderId="0" xfId="0" applyFont="1" applyAlignment="1">
      <alignment horizontal="left" vertical="top"/>
    </xf>
    <xf numFmtId="0" fontId="19" fillId="0" borderId="0" xfId="0" applyFont="1"/>
    <xf numFmtId="0" fontId="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44" fontId="8" fillId="0" borderId="0" xfId="1" applyFont="1" applyAlignment="1" applyProtection="1">
      <alignment horizontal="center"/>
      <protection locked="0"/>
    </xf>
    <xf numFmtId="44" fontId="5" fillId="0" borderId="0" xfId="1" applyFont="1" applyProtection="1">
      <protection locked="0"/>
    </xf>
    <xf numFmtId="0" fontId="5" fillId="0" borderId="0" xfId="0" quotePrefix="1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right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8" fillId="0" borderId="0" xfId="0" applyFont="1" applyProtection="1">
      <protection locked="0"/>
    </xf>
    <xf numFmtId="9" fontId="5" fillId="0" borderId="0" xfId="0" quotePrefix="1" applyNumberFormat="1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44" fontId="8" fillId="0" borderId="0" xfId="1" applyFont="1" applyProtection="1">
      <protection locked="0"/>
    </xf>
    <xf numFmtId="0" fontId="5" fillId="0" borderId="0" xfId="0" quotePrefix="1" applyFont="1" applyAlignment="1" applyProtection="1">
      <alignment wrapText="1"/>
      <protection locked="0"/>
    </xf>
    <xf numFmtId="0" fontId="7" fillId="0" borderId="0" xfId="0" applyFont="1" applyAlignment="1" applyProtection="1">
      <alignment horizontal="center"/>
      <protection locked="0"/>
    </xf>
    <xf numFmtId="44" fontId="5" fillId="0" borderId="0" xfId="1" applyFont="1" applyBorder="1" applyProtection="1">
      <protection locked="0"/>
    </xf>
    <xf numFmtId="0" fontId="9" fillId="0" borderId="0" xfId="0" applyFont="1" applyAlignment="1" applyProtection="1">
      <alignment vertical="top" wrapText="1"/>
      <protection locked="0"/>
    </xf>
    <xf numFmtId="9" fontId="5" fillId="2" borderId="1" xfId="0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 applyProtection="1">
      <alignment vertical="top"/>
      <protection locked="0"/>
    </xf>
    <xf numFmtId="0" fontId="4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2" fillId="0" borderId="0" xfId="0" applyFont="1" applyAlignment="1">
      <alignment horizontal="left" vertical="top"/>
    </xf>
    <xf numFmtId="164" fontId="8" fillId="0" borderId="0" xfId="1" applyNumberFormat="1" applyFont="1" applyProtection="1"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53"/>
  <sheetViews>
    <sheetView workbookViewId="0">
      <selection activeCell="I37" sqref="I37"/>
    </sheetView>
  </sheetViews>
  <sheetFormatPr defaultColWidth="9.140625" defaultRowHeight="14.25" x14ac:dyDescent="0.2"/>
  <cols>
    <col min="1" max="1" width="3.5703125" style="34" customWidth="1"/>
    <col min="2" max="2" width="10" style="34" customWidth="1"/>
    <col min="3" max="3" width="10.5703125" style="34" customWidth="1"/>
    <col min="4" max="4" width="11.140625" style="34" customWidth="1"/>
    <col min="5" max="5" width="12.140625" style="34" customWidth="1"/>
    <col min="6" max="6" width="14" style="34" customWidth="1"/>
    <col min="7" max="7" width="13.28515625" style="34" customWidth="1"/>
    <col min="8" max="8" width="1.42578125" style="34" customWidth="1"/>
    <col min="9" max="9" width="16.5703125" style="38" customWidth="1"/>
    <col min="10" max="10" width="3" style="34" customWidth="1"/>
    <col min="11" max="11" width="56.28515625" style="34" customWidth="1"/>
    <col min="12" max="12" width="3.140625" style="34" customWidth="1"/>
    <col min="13" max="16384" width="9.140625" style="34"/>
  </cols>
  <sheetData>
    <row r="1" spans="2:12" ht="18" x14ac:dyDescent="0.25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33"/>
    </row>
    <row r="2" spans="2:12" ht="18" x14ac:dyDescent="0.25">
      <c r="B2" s="54" t="s">
        <v>69</v>
      </c>
      <c r="C2" s="54"/>
      <c r="D2" s="54"/>
      <c r="E2" s="54"/>
      <c r="F2" s="54"/>
      <c r="G2" s="54"/>
      <c r="H2" s="54"/>
      <c r="I2" s="54"/>
      <c r="J2" s="54"/>
      <c r="K2" s="54"/>
      <c r="L2" s="33"/>
    </row>
    <row r="5" spans="2:12" ht="15.75" x14ac:dyDescent="0.25">
      <c r="B5" s="55" t="s">
        <v>1</v>
      </c>
      <c r="C5" s="55"/>
      <c r="D5" s="55"/>
      <c r="E5" s="55"/>
      <c r="F5" s="55"/>
      <c r="G5" s="55"/>
      <c r="H5" s="55"/>
      <c r="I5" s="55"/>
      <c r="J5" s="55"/>
      <c r="K5" s="55"/>
    </row>
    <row r="6" spans="2:12" ht="15.75" x14ac:dyDescent="0.25">
      <c r="B6" s="35"/>
      <c r="C6" s="35"/>
      <c r="D6" s="35"/>
      <c r="E6" s="35"/>
      <c r="F6" s="35"/>
      <c r="G6" s="35"/>
      <c r="H6" s="35"/>
      <c r="I6" s="35"/>
      <c r="J6" s="35"/>
      <c r="K6" s="35"/>
    </row>
    <row r="7" spans="2:12" ht="15" x14ac:dyDescent="0.25">
      <c r="B7" s="36"/>
      <c r="C7" s="36"/>
      <c r="D7" s="36"/>
      <c r="E7" s="36"/>
      <c r="F7" s="36"/>
      <c r="I7" s="37" t="s">
        <v>2</v>
      </c>
    </row>
    <row r="8" spans="2:12" ht="5.25" customHeight="1" x14ac:dyDescent="0.2"/>
    <row r="9" spans="2:12" ht="15" x14ac:dyDescent="0.25">
      <c r="B9" s="34" t="s">
        <v>3</v>
      </c>
      <c r="I9" s="1">
        <v>48244</v>
      </c>
    </row>
    <row r="10" spans="2:12" ht="15" x14ac:dyDescent="0.25">
      <c r="I10" s="1"/>
    </row>
    <row r="11" spans="2:12" ht="15" x14ac:dyDescent="0.25">
      <c r="B11" s="34" t="s">
        <v>4</v>
      </c>
      <c r="G11" s="2">
        <v>0</v>
      </c>
      <c r="I11" s="1">
        <f>+IF(G11&gt;15,12000,+G11*800)</f>
        <v>0</v>
      </c>
      <c r="J11" s="39" t="s">
        <v>5</v>
      </c>
      <c r="K11" s="39" t="s">
        <v>6</v>
      </c>
    </row>
    <row r="12" spans="2:12" ht="15" x14ac:dyDescent="0.25">
      <c r="G12" s="40"/>
      <c r="I12" s="1"/>
    </row>
    <row r="13" spans="2:12" ht="15" x14ac:dyDescent="0.25">
      <c r="B13" s="34" t="s">
        <v>7</v>
      </c>
      <c r="G13" s="2">
        <v>0</v>
      </c>
      <c r="I13" s="1">
        <f>+VLOOKUP(G13,Membership,2,TRUE)</f>
        <v>0</v>
      </c>
      <c r="J13" s="39" t="s">
        <v>5</v>
      </c>
      <c r="K13" s="34" t="s">
        <v>8</v>
      </c>
    </row>
    <row r="14" spans="2:12" ht="15" x14ac:dyDescent="0.25">
      <c r="G14" s="40"/>
      <c r="I14" s="1"/>
    </row>
    <row r="15" spans="2:12" ht="15" x14ac:dyDescent="0.25">
      <c r="B15" s="34" t="s">
        <v>9</v>
      </c>
      <c r="G15" s="2">
        <v>0</v>
      </c>
      <c r="I15" s="1">
        <f>+G15*1000</f>
        <v>0</v>
      </c>
      <c r="J15" s="39" t="s">
        <v>5</v>
      </c>
      <c r="K15" s="34" t="s">
        <v>10</v>
      </c>
    </row>
    <row r="16" spans="2:12" ht="15" x14ac:dyDescent="0.25">
      <c r="G16" s="40"/>
      <c r="I16" s="3"/>
    </row>
    <row r="17" spans="2:14" ht="5.25" customHeight="1" x14ac:dyDescent="0.25">
      <c r="G17" s="40"/>
      <c r="I17" s="1"/>
      <c r="J17" s="39"/>
    </row>
    <row r="18" spans="2:14" ht="15" x14ac:dyDescent="0.25">
      <c r="C18" s="41" t="s">
        <v>11</v>
      </c>
      <c r="D18" s="41"/>
      <c r="E18" s="41"/>
      <c r="F18" s="41"/>
      <c r="G18" s="40"/>
      <c r="I18" s="1">
        <f>SUM(I9:I16)</f>
        <v>48244</v>
      </c>
    </row>
    <row r="19" spans="2:14" x14ac:dyDescent="0.2">
      <c r="G19" s="40"/>
      <c r="I19" s="4"/>
    </row>
    <row r="20" spans="2:14" ht="16.5" customHeight="1" x14ac:dyDescent="0.2">
      <c r="B20" s="34" t="s">
        <v>12</v>
      </c>
      <c r="G20" s="5">
        <v>12000</v>
      </c>
      <c r="I20" s="4"/>
      <c r="K20" s="42" t="s">
        <v>13</v>
      </c>
    </row>
    <row r="21" spans="2:14" ht="12.75" customHeight="1" x14ac:dyDescent="0.2">
      <c r="I21" s="4"/>
      <c r="K21" s="43" t="s">
        <v>14</v>
      </c>
    </row>
    <row r="22" spans="2:14" ht="12.75" customHeight="1" x14ac:dyDescent="0.2">
      <c r="I22" s="4"/>
      <c r="K22" s="43"/>
    </row>
    <row r="23" spans="2:14" ht="20.25" customHeight="1" x14ac:dyDescent="0.25">
      <c r="B23" s="44" t="s">
        <v>15</v>
      </c>
      <c r="C23" s="44"/>
      <c r="D23" s="44"/>
      <c r="E23" s="44"/>
      <c r="F23" s="44"/>
      <c r="I23" s="4"/>
      <c r="K23" s="53" t="s">
        <v>66</v>
      </c>
    </row>
    <row r="24" spans="2:14" ht="20.25" customHeight="1" x14ac:dyDescent="0.25">
      <c r="C24" s="34" t="s">
        <v>16</v>
      </c>
      <c r="I24" s="1">
        <f>+ROUND((I18*1.3)*0.0765,0)</f>
        <v>4798</v>
      </c>
      <c r="J24" s="39" t="s">
        <v>5</v>
      </c>
      <c r="K24" s="34" t="s">
        <v>63</v>
      </c>
      <c r="N24" s="34" t="s">
        <v>58</v>
      </c>
    </row>
    <row r="25" spans="2:14" ht="20.25" customHeight="1" x14ac:dyDescent="0.25">
      <c r="I25" s="1"/>
      <c r="J25" s="39"/>
    </row>
    <row r="26" spans="2:14" ht="15.75" customHeight="1" x14ac:dyDescent="0.25">
      <c r="D26" s="34" t="s">
        <v>17</v>
      </c>
      <c r="I26" s="1"/>
    </row>
    <row r="27" spans="2:14" ht="15" x14ac:dyDescent="0.25">
      <c r="C27" s="34" t="s">
        <v>18</v>
      </c>
      <c r="I27" s="1">
        <f>+ROUND((I18*1.3)*0.14,0)</f>
        <v>8780</v>
      </c>
      <c r="J27" s="39" t="s">
        <v>5</v>
      </c>
      <c r="K27" s="45" t="s">
        <v>62</v>
      </c>
    </row>
    <row r="28" spans="2:14" ht="15" x14ac:dyDescent="0.25">
      <c r="I28" s="1"/>
    </row>
    <row r="29" spans="2:14" ht="15" x14ac:dyDescent="0.25">
      <c r="C29" s="34" t="s">
        <v>19</v>
      </c>
      <c r="I29" s="1">
        <f>+ROUND((I18*1.3)*0.015,0)</f>
        <v>941</v>
      </c>
      <c r="J29" s="39" t="s">
        <v>5</v>
      </c>
      <c r="K29" s="45" t="s">
        <v>64</v>
      </c>
    </row>
    <row r="30" spans="2:14" ht="15" x14ac:dyDescent="0.25">
      <c r="I30" s="1"/>
    </row>
    <row r="31" spans="2:14" ht="15" x14ac:dyDescent="0.25">
      <c r="G31" s="46" t="s">
        <v>20</v>
      </c>
      <c r="I31" s="1"/>
    </row>
    <row r="32" spans="2:14" ht="15" x14ac:dyDescent="0.25">
      <c r="C32" s="34" t="s">
        <v>21</v>
      </c>
      <c r="G32" s="6">
        <v>0</v>
      </c>
      <c r="I32" s="1">
        <f>+ROUND(G32*12,0)</f>
        <v>0</v>
      </c>
      <c r="J32" s="39" t="s">
        <v>5</v>
      </c>
      <c r="K32" s="34" t="s">
        <v>65</v>
      </c>
    </row>
    <row r="33" spans="3:11" ht="15" x14ac:dyDescent="0.25">
      <c r="G33" s="46" t="s">
        <v>20</v>
      </c>
      <c r="I33" s="1"/>
    </row>
    <row r="34" spans="3:11" ht="15" x14ac:dyDescent="0.25">
      <c r="C34" s="34" t="s">
        <v>22</v>
      </c>
      <c r="G34" s="6">
        <v>0</v>
      </c>
      <c r="I34" s="1">
        <f>+ROUND(G34*12,0)</f>
        <v>0</v>
      </c>
      <c r="J34" s="39" t="s">
        <v>5</v>
      </c>
      <c r="K34" s="34" t="s">
        <v>65</v>
      </c>
    </row>
    <row r="35" spans="3:11" ht="15" x14ac:dyDescent="0.25">
      <c r="I35" s="1"/>
    </row>
    <row r="36" spans="3:11" ht="15" x14ac:dyDescent="0.25">
      <c r="C36" s="34" t="s">
        <v>23</v>
      </c>
      <c r="G36" s="7">
        <v>0</v>
      </c>
      <c r="I36" s="8">
        <f>+ROUND((I18+G20)*G36,0)</f>
        <v>0</v>
      </c>
      <c r="J36" s="39" t="s">
        <v>5</v>
      </c>
      <c r="K36" s="34" t="s">
        <v>24</v>
      </c>
    </row>
    <row r="37" spans="3:11" ht="15" x14ac:dyDescent="0.25">
      <c r="I37" s="8"/>
    </row>
    <row r="38" spans="3:11" ht="15.75" thickBot="1" x14ac:dyDescent="0.3">
      <c r="D38" s="41"/>
      <c r="E38" s="41"/>
      <c r="F38" s="41" t="s">
        <v>25</v>
      </c>
      <c r="I38" s="9">
        <f>SUM(I18:I37)</f>
        <v>62763</v>
      </c>
    </row>
    <row r="39" spans="3:11" ht="15.75" thickTop="1" x14ac:dyDescent="0.25">
      <c r="I39" s="47"/>
    </row>
    <row r="47" spans="3:11" ht="35.25" customHeight="1" x14ac:dyDescent="0.2">
      <c r="E47" s="48"/>
      <c r="F47" s="48"/>
      <c r="I47" s="34"/>
    </row>
    <row r="53" spans="5:9" x14ac:dyDescent="0.2">
      <c r="E53" s="48"/>
      <c r="F53" s="48"/>
      <c r="I53" s="34"/>
    </row>
  </sheetData>
  <sheetProtection sheet="1" objects="1" scenarios="1"/>
  <mergeCells count="3">
    <mergeCell ref="B1:K1"/>
    <mergeCell ref="B2:K2"/>
    <mergeCell ref="B5:K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L53"/>
  <sheetViews>
    <sheetView tabSelected="1" topLeftCell="B1" workbookViewId="0">
      <selection activeCell="B6" sqref="B6:K6"/>
    </sheetView>
  </sheetViews>
  <sheetFormatPr defaultColWidth="9.140625" defaultRowHeight="14.25" x14ac:dyDescent="0.2"/>
  <cols>
    <col min="1" max="1" width="3.5703125" style="34" customWidth="1"/>
    <col min="2" max="2" width="10" style="34" customWidth="1"/>
    <col min="3" max="3" width="10.5703125" style="34" customWidth="1"/>
    <col min="4" max="4" width="11.140625" style="34" customWidth="1"/>
    <col min="5" max="5" width="12.140625" style="34" customWidth="1"/>
    <col min="6" max="6" width="14" style="34" customWidth="1"/>
    <col min="7" max="7" width="13.28515625" style="34" customWidth="1"/>
    <col min="8" max="8" width="1.42578125" style="34" customWidth="1"/>
    <col min="9" max="9" width="16.5703125" style="38" customWidth="1"/>
    <col min="10" max="10" width="3" style="34" customWidth="1"/>
    <col min="11" max="11" width="55.5703125" style="34" customWidth="1"/>
    <col min="12" max="12" width="2.28515625" style="34" customWidth="1"/>
    <col min="13" max="16384" width="9.140625" style="34"/>
  </cols>
  <sheetData>
    <row r="2" spans="2:12" ht="18" x14ac:dyDescent="0.25">
      <c r="B2" s="54" t="s">
        <v>0</v>
      </c>
      <c r="C2" s="54"/>
      <c r="D2" s="54"/>
      <c r="E2" s="54"/>
      <c r="F2" s="54"/>
      <c r="G2" s="54"/>
      <c r="H2" s="54"/>
      <c r="I2" s="54"/>
      <c r="J2" s="54"/>
      <c r="K2" s="54"/>
      <c r="L2" s="33"/>
    </row>
    <row r="3" spans="2:12" ht="18" x14ac:dyDescent="0.25">
      <c r="B3" s="54" t="str">
        <f>+'With Parsonage'!B2:K2</f>
        <v>Clergy Compensation Guideline Calculator for 2026</v>
      </c>
      <c r="C3" s="54"/>
      <c r="D3" s="54"/>
      <c r="E3" s="54"/>
      <c r="F3" s="54"/>
      <c r="G3" s="54"/>
      <c r="H3" s="54"/>
      <c r="I3" s="54"/>
      <c r="J3" s="54"/>
      <c r="K3" s="54"/>
      <c r="L3" s="33"/>
    </row>
    <row r="6" spans="2:12" ht="15.75" x14ac:dyDescent="0.25">
      <c r="B6" s="55" t="s">
        <v>26</v>
      </c>
      <c r="C6" s="55"/>
      <c r="D6" s="55"/>
      <c r="E6" s="55"/>
      <c r="F6" s="55"/>
      <c r="G6" s="55"/>
      <c r="H6" s="55"/>
      <c r="I6" s="55"/>
      <c r="J6" s="55"/>
      <c r="K6" s="55"/>
    </row>
    <row r="7" spans="2:12" ht="15" x14ac:dyDescent="0.25">
      <c r="B7" s="49"/>
      <c r="C7" s="49"/>
      <c r="D7" s="49"/>
      <c r="E7" s="49"/>
      <c r="F7" s="49"/>
      <c r="G7" s="49"/>
      <c r="H7" s="49"/>
      <c r="I7" s="49"/>
      <c r="J7" s="49"/>
      <c r="K7" s="49"/>
    </row>
    <row r="8" spans="2:12" ht="15" x14ac:dyDescent="0.25">
      <c r="B8" s="36"/>
      <c r="C8" s="36"/>
      <c r="D8" s="36"/>
      <c r="E8" s="36"/>
      <c r="F8" s="36"/>
      <c r="I8" s="37" t="s">
        <v>2</v>
      </c>
    </row>
    <row r="9" spans="2:12" ht="5.25" customHeight="1" x14ac:dyDescent="0.2"/>
    <row r="10" spans="2:12" ht="15" x14ac:dyDescent="0.25">
      <c r="B10" s="34" t="s">
        <v>3</v>
      </c>
      <c r="I10" s="1">
        <v>48244</v>
      </c>
    </row>
    <row r="11" spans="2:12" ht="15" x14ac:dyDescent="0.25">
      <c r="I11" s="1"/>
    </row>
    <row r="12" spans="2:12" ht="15" x14ac:dyDescent="0.25">
      <c r="B12" s="34" t="s">
        <v>4</v>
      </c>
      <c r="G12" s="2">
        <v>0</v>
      </c>
      <c r="I12" s="1">
        <f>+IF(G12&gt;15,12000,+G12*800)</f>
        <v>0</v>
      </c>
      <c r="J12" s="39" t="s">
        <v>5</v>
      </c>
      <c r="K12" s="39" t="s">
        <v>6</v>
      </c>
    </row>
    <row r="13" spans="2:12" ht="15" x14ac:dyDescent="0.25">
      <c r="G13" s="40"/>
      <c r="I13" s="1"/>
    </row>
    <row r="14" spans="2:12" ht="15" x14ac:dyDescent="0.25">
      <c r="B14" s="34" t="s">
        <v>7</v>
      </c>
      <c r="G14" s="2">
        <v>0</v>
      </c>
      <c r="I14" s="1">
        <f>+VLOOKUP(+G14,Membership,2,TRUE)</f>
        <v>0</v>
      </c>
      <c r="J14" s="39" t="s">
        <v>5</v>
      </c>
      <c r="K14" s="34" t="s">
        <v>8</v>
      </c>
    </row>
    <row r="15" spans="2:12" ht="15" x14ac:dyDescent="0.25">
      <c r="G15" s="40"/>
      <c r="I15" s="1"/>
    </row>
    <row r="16" spans="2:12" ht="15" x14ac:dyDescent="0.25">
      <c r="B16" s="34" t="s">
        <v>9</v>
      </c>
      <c r="G16" s="2">
        <v>0</v>
      </c>
      <c r="I16" s="1">
        <f>+G16*1000</f>
        <v>0</v>
      </c>
      <c r="J16" s="39" t="s">
        <v>5</v>
      </c>
      <c r="K16" s="34" t="s">
        <v>10</v>
      </c>
    </row>
    <row r="17" spans="2:11" ht="15" x14ac:dyDescent="0.25">
      <c r="G17" s="40"/>
      <c r="I17" s="3"/>
    </row>
    <row r="18" spans="2:11" ht="5.25" customHeight="1" x14ac:dyDescent="0.25">
      <c r="G18" s="40"/>
      <c r="I18" s="1"/>
      <c r="J18" s="39"/>
    </row>
    <row r="19" spans="2:11" ht="15" x14ac:dyDescent="0.25">
      <c r="D19" s="41"/>
      <c r="E19" s="41"/>
      <c r="F19" s="41" t="s">
        <v>27</v>
      </c>
      <c r="G19" s="40"/>
      <c r="I19" s="1">
        <f>SUM(I10:I17)</f>
        <v>48244</v>
      </c>
    </row>
    <row r="20" spans="2:11" x14ac:dyDescent="0.2">
      <c r="G20" s="40"/>
      <c r="I20" s="4"/>
    </row>
    <row r="21" spans="2:11" ht="18" customHeight="1" x14ac:dyDescent="0.25">
      <c r="B21" s="34" t="s">
        <v>61</v>
      </c>
      <c r="G21" s="52">
        <v>0.4</v>
      </c>
      <c r="I21" s="62">
        <f>+ROUND(I19*G21,0)</f>
        <v>19298</v>
      </c>
      <c r="J21" s="39" t="s">
        <v>5</v>
      </c>
      <c r="K21" s="51" t="s">
        <v>28</v>
      </c>
    </row>
    <row r="22" spans="2:11" ht="12" customHeight="1" x14ac:dyDescent="0.25">
      <c r="G22" s="50"/>
      <c r="I22" s="3"/>
      <c r="K22" s="43" t="s">
        <v>29</v>
      </c>
    </row>
    <row r="23" spans="2:11" ht="17.25" customHeight="1" x14ac:dyDescent="0.25">
      <c r="F23" s="41" t="s">
        <v>30</v>
      </c>
      <c r="I23" s="1">
        <f>SUM(I19:I22)</f>
        <v>67542</v>
      </c>
    </row>
    <row r="24" spans="2:11" ht="21" customHeight="1" x14ac:dyDescent="0.25">
      <c r="F24" s="41"/>
      <c r="I24" s="1"/>
    </row>
    <row r="25" spans="2:11" ht="20.25" customHeight="1" x14ac:dyDescent="0.25">
      <c r="B25" s="44" t="s">
        <v>15</v>
      </c>
      <c r="C25" s="44"/>
      <c r="D25" s="44"/>
      <c r="E25" s="44"/>
      <c r="F25" s="44"/>
      <c r="I25" s="4"/>
    </row>
    <row r="26" spans="2:11" ht="20.25" customHeight="1" x14ac:dyDescent="0.25">
      <c r="C26" s="34" t="s">
        <v>16</v>
      </c>
      <c r="I26" s="1">
        <f>+ROUND(I23*0.0765,0)</f>
        <v>5167</v>
      </c>
      <c r="J26" s="39" t="s">
        <v>5</v>
      </c>
      <c r="K26" s="34" t="s">
        <v>31</v>
      </c>
    </row>
    <row r="27" spans="2:11" ht="20.25" customHeight="1" x14ac:dyDescent="0.25">
      <c r="I27" s="1"/>
    </row>
    <row r="28" spans="2:11" ht="14.25" customHeight="1" x14ac:dyDescent="0.25">
      <c r="D28" s="34" t="s">
        <v>17</v>
      </c>
      <c r="I28" s="1"/>
    </row>
    <row r="29" spans="2:11" ht="15" x14ac:dyDescent="0.25">
      <c r="C29" s="34" t="s">
        <v>18</v>
      </c>
      <c r="I29" s="1">
        <f>+ROUND(I23*0.14,0)</f>
        <v>9456</v>
      </c>
      <c r="J29" s="39" t="s">
        <v>5</v>
      </c>
      <c r="K29" s="45" t="s">
        <v>32</v>
      </c>
    </row>
    <row r="30" spans="2:11" ht="15" x14ac:dyDescent="0.25">
      <c r="I30" s="1"/>
    </row>
    <row r="31" spans="2:11" ht="15" x14ac:dyDescent="0.25">
      <c r="C31" s="34" t="s">
        <v>19</v>
      </c>
      <c r="I31" s="1">
        <f>+ROUND(I23*0.015,0)</f>
        <v>1013</v>
      </c>
      <c r="J31" s="39" t="s">
        <v>5</v>
      </c>
      <c r="K31" s="45" t="s">
        <v>33</v>
      </c>
    </row>
    <row r="32" spans="2:11" ht="15" x14ac:dyDescent="0.25">
      <c r="I32" s="1"/>
    </row>
    <row r="33" spans="3:11" ht="15" x14ac:dyDescent="0.25">
      <c r="G33" s="46" t="s">
        <v>20</v>
      </c>
      <c r="I33" s="1"/>
    </row>
    <row r="34" spans="3:11" ht="15" x14ac:dyDescent="0.25">
      <c r="C34" s="34" t="s">
        <v>21</v>
      </c>
      <c r="G34" s="6">
        <v>0</v>
      </c>
      <c r="I34" s="1">
        <f>+ROUND(G34*12,0)</f>
        <v>0</v>
      </c>
      <c r="J34" s="39" t="s">
        <v>5</v>
      </c>
      <c r="K34" s="34" t="s">
        <v>65</v>
      </c>
    </row>
    <row r="35" spans="3:11" ht="15" x14ac:dyDescent="0.25">
      <c r="G35" s="46" t="s">
        <v>20</v>
      </c>
      <c r="I35" s="1"/>
    </row>
    <row r="36" spans="3:11" ht="15" x14ac:dyDescent="0.25">
      <c r="C36" s="34" t="s">
        <v>22</v>
      </c>
      <c r="G36" s="6">
        <v>0</v>
      </c>
      <c r="I36" s="1">
        <f>+ROUND(G36*12,0)</f>
        <v>0</v>
      </c>
      <c r="J36" s="39" t="s">
        <v>5</v>
      </c>
      <c r="K36" s="34" t="s">
        <v>65</v>
      </c>
    </row>
    <row r="37" spans="3:11" ht="15" x14ac:dyDescent="0.25">
      <c r="I37" s="1"/>
    </row>
    <row r="38" spans="3:11" ht="15.75" thickBot="1" x14ac:dyDescent="0.3">
      <c r="D38" s="41"/>
      <c r="E38" s="41"/>
      <c r="F38" s="41" t="s">
        <v>25</v>
      </c>
      <c r="I38" s="9">
        <f>SUM(I23:I37)</f>
        <v>83178</v>
      </c>
    </row>
    <row r="39" spans="3:11" ht="15.75" thickTop="1" x14ac:dyDescent="0.25">
      <c r="I39" s="47"/>
    </row>
    <row r="47" spans="3:11" ht="35.25" customHeight="1" x14ac:dyDescent="0.2">
      <c r="E47" s="48"/>
      <c r="F47" s="48"/>
      <c r="I47" s="34"/>
    </row>
    <row r="53" spans="5:9" x14ac:dyDescent="0.2">
      <c r="E53" s="48"/>
      <c r="F53" s="48"/>
      <c r="I53" s="34"/>
    </row>
  </sheetData>
  <sheetProtection sheet="1" objects="1" scenarios="1"/>
  <mergeCells count="3">
    <mergeCell ref="B2:K2"/>
    <mergeCell ref="B3:K3"/>
    <mergeCell ref="B6:K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9"/>
  <sheetViews>
    <sheetView workbookViewId="0">
      <selection activeCell="B6" sqref="B6"/>
    </sheetView>
  </sheetViews>
  <sheetFormatPr defaultRowHeight="15" x14ac:dyDescent="0.25"/>
  <cols>
    <col min="1" max="1" width="24.42578125" customWidth="1"/>
    <col min="2" max="2" width="13.28515625" customWidth="1"/>
    <col min="3" max="3" width="14.140625" customWidth="1"/>
    <col min="4" max="4" width="14.5703125" customWidth="1"/>
    <col min="5" max="5" width="16" customWidth="1"/>
  </cols>
  <sheetData>
    <row r="1" spans="1:5" ht="23.25" x14ac:dyDescent="0.35">
      <c r="A1" s="56" t="s">
        <v>34</v>
      </c>
      <c r="B1" s="56"/>
      <c r="C1" s="56"/>
      <c r="D1" s="56"/>
      <c r="E1" s="56"/>
    </row>
    <row r="2" spans="1:5" ht="18.75" x14ac:dyDescent="0.3">
      <c r="A2" s="57" t="s">
        <v>68</v>
      </c>
      <c r="B2" s="57"/>
      <c r="C2" s="57"/>
      <c r="D2" s="57"/>
      <c r="E2" s="57"/>
    </row>
    <row r="3" spans="1:5" ht="18.75" x14ac:dyDescent="0.3">
      <c r="A3" s="10"/>
      <c r="B3" s="10"/>
      <c r="C3" s="10"/>
      <c r="D3" s="10"/>
      <c r="E3" s="10"/>
    </row>
    <row r="4" spans="1:5" ht="34.5" customHeight="1" x14ac:dyDescent="0.25">
      <c r="A4" s="11" t="s">
        <v>35</v>
      </c>
      <c r="B4" s="12" t="s">
        <v>36</v>
      </c>
      <c r="C4" s="12" t="s">
        <v>37</v>
      </c>
      <c r="D4" s="12" t="s">
        <v>38</v>
      </c>
      <c r="E4" s="12" t="s">
        <v>39</v>
      </c>
    </row>
    <row r="5" spans="1:5" x14ac:dyDescent="0.25">
      <c r="A5" s="13" t="s">
        <v>40</v>
      </c>
      <c r="B5" s="14"/>
      <c r="C5" s="15"/>
      <c r="D5" s="15"/>
      <c r="E5" s="15"/>
    </row>
    <row r="6" spans="1:5" x14ac:dyDescent="0.25">
      <c r="A6" s="13" t="s">
        <v>41</v>
      </c>
      <c r="B6" s="16">
        <v>1367</v>
      </c>
      <c r="C6" s="16">
        <v>2710</v>
      </c>
      <c r="D6" s="16">
        <v>2665</v>
      </c>
      <c r="E6" s="16">
        <v>2917</v>
      </c>
    </row>
    <row r="7" spans="1:5" x14ac:dyDescent="0.25">
      <c r="A7" s="13">
        <v>40</v>
      </c>
      <c r="B7" s="16">
        <v>1025.25</v>
      </c>
      <c r="C7" s="16">
        <v>2032.5</v>
      </c>
      <c r="D7" s="16">
        <v>1998.75</v>
      </c>
      <c r="E7" s="16">
        <v>2187.75</v>
      </c>
    </row>
    <row r="8" spans="1:5" x14ac:dyDescent="0.25">
      <c r="A8" s="13" t="s">
        <v>42</v>
      </c>
      <c r="B8" s="16">
        <v>724.51</v>
      </c>
      <c r="C8" s="16">
        <v>1436.3</v>
      </c>
      <c r="D8" s="16">
        <v>1412.45</v>
      </c>
      <c r="E8" s="16">
        <v>1546.01</v>
      </c>
    </row>
    <row r="9" spans="1:5" x14ac:dyDescent="0.25">
      <c r="A9" s="13" t="s">
        <v>43</v>
      </c>
      <c r="B9" s="16">
        <v>792.86</v>
      </c>
      <c r="C9" s="16">
        <v>1571.8</v>
      </c>
      <c r="D9" s="16">
        <v>1545.7</v>
      </c>
      <c r="E9" s="16">
        <v>1691.86</v>
      </c>
    </row>
    <row r="10" spans="1:5" x14ac:dyDescent="0.25">
      <c r="A10" s="13" t="s">
        <v>44</v>
      </c>
      <c r="B10" s="16">
        <v>738.18</v>
      </c>
      <c r="C10" s="16">
        <v>1463.4</v>
      </c>
      <c r="D10" s="16">
        <v>1439.1</v>
      </c>
      <c r="E10" s="16">
        <v>1575.18</v>
      </c>
    </row>
    <row r="11" spans="1:5" x14ac:dyDescent="0.25">
      <c r="A11" s="13" t="s">
        <v>45</v>
      </c>
      <c r="B11" s="16">
        <v>478.45</v>
      </c>
      <c r="C11" s="16">
        <v>948.5</v>
      </c>
      <c r="D11" s="16">
        <v>932.75</v>
      </c>
      <c r="E11" s="16">
        <v>1020.95</v>
      </c>
    </row>
    <row r="12" spans="1:5" x14ac:dyDescent="0.25">
      <c r="A12" s="17"/>
      <c r="B12" s="18"/>
      <c r="C12" s="18"/>
      <c r="D12" s="18"/>
      <c r="E12" s="18"/>
    </row>
    <row r="13" spans="1:5" ht="45" x14ac:dyDescent="0.25">
      <c r="A13" s="58" t="s">
        <v>67</v>
      </c>
      <c r="B13" s="59"/>
      <c r="C13" s="19" t="s">
        <v>46</v>
      </c>
      <c r="D13" s="20" t="s">
        <v>47</v>
      </c>
      <c r="E13" s="20" t="s">
        <v>48</v>
      </c>
    </row>
    <row r="14" spans="1:5" x14ac:dyDescent="0.25">
      <c r="A14" s="21" t="s">
        <v>49</v>
      </c>
      <c r="B14" s="22"/>
      <c r="C14" s="23">
        <v>255</v>
      </c>
      <c r="D14" s="23">
        <v>510</v>
      </c>
      <c r="E14" s="16">
        <v>1504</v>
      </c>
    </row>
    <row r="15" spans="1:5" x14ac:dyDescent="0.25">
      <c r="A15" s="24"/>
      <c r="E15" s="25"/>
    </row>
    <row r="16" spans="1:5" x14ac:dyDescent="0.25">
      <c r="A16" s="21" t="s">
        <v>50</v>
      </c>
      <c r="B16" s="22"/>
      <c r="C16" s="16">
        <v>510</v>
      </c>
      <c r="D16" s="16">
        <v>638</v>
      </c>
      <c r="E16" s="16">
        <v>1585</v>
      </c>
    </row>
    <row r="17" spans="1:5" x14ac:dyDescent="0.25">
      <c r="A17" s="24"/>
      <c r="E17" s="25"/>
    </row>
    <row r="18" spans="1:5" ht="27.75" customHeight="1" x14ac:dyDescent="0.25">
      <c r="A18" s="60" t="s">
        <v>51</v>
      </c>
      <c r="B18" s="60"/>
      <c r="C18" s="16">
        <v>1416</v>
      </c>
      <c r="D18" s="16">
        <v>1412</v>
      </c>
      <c r="E18" s="16">
        <v>1670</v>
      </c>
    </row>
    <row r="19" spans="1:5" x14ac:dyDescent="0.25">
      <c r="A19" s="26"/>
      <c r="B19" s="26"/>
      <c r="C19" s="27"/>
      <c r="D19" s="27"/>
      <c r="E19" s="27"/>
    </row>
    <row r="20" spans="1:5" ht="30" x14ac:dyDescent="0.25">
      <c r="A20" s="28" t="s">
        <v>57</v>
      </c>
      <c r="B20" s="29" t="s">
        <v>36</v>
      </c>
      <c r="C20" s="29" t="s">
        <v>37</v>
      </c>
      <c r="D20" s="29" t="s">
        <v>38</v>
      </c>
      <c r="E20" s="29" t="s">
        <v>39</v>
      </c>
    </row>
    <row r="21" spans="1:5" x14ac:dyDescent="0.25">
      <c r="A21" s="30" t="s">
        <v>52</v>
      </c>
      <c r="B21" s="16">
        <v>47</v>
      </c>
      <c r="C21" s="16">
        <v>90.75</v>
      </c>
      <c r="D21" s="16">
        <v>92</v>
      </c>
      <c r="E21" s="16">
        <v>103.5</v>
      </c>
    </row>
    <row r="22" spans="1:5" x14ac:dyDescent="0.25">
      <c r="A22" s="30" t="s">
        <v>53</v>
      </c>
      <c r="B22" s="16">
        <v>51.75</v>
      </c>
      <c r="C22" s="16">
        <v>99.75</v>
      </c>
      <c r="D22" s="16">
        <v>101</v>
      </c>
      <c r="E22" s="16">
        <v>113.5</v>
      </c>
    </row>
    <row r="23" spans="1:5" x14ac:dyDescent="0.25">
      <c r="A23" s="17"/>
      <c r="B23" s="18"/>
      <c r="C23" s="18"/>
      <c r="D23" s="18"/>
      <c r="E23" s="18"/>
    </row>
    <row r="24" spans="1:5" x14ac:dyDescent="0.25">
      <c r="A24" s="61" t="s">
        <v>54</v>
      </c>
      <c r="B24" s="61"/>
      <c r="C24" s="61"/>
      <c r="D24" s="61"/>
      <c r="E24" s="61"/>
    </row>
    <row r="25" spans="1:5" x14ac:dyDescent="0.25">
      <c r="A25" s="31"/>
      <c r="B25" s="31"/>
      <c r="C25" s="31"/>
      <c r="D25" s="31"/>
      <c r="E25" s="31"/>
    </row>
    <row r="26" spans="1:5" x14ac:dyDescent="0.25">
      <c r="A26" s="17"/>
      <c r="B26" s="18"/>
      <c r="C26" s="18"/>
      <c r="D26" s="18"/>
      <c r="E26" s="18"/>
    </row>
    <row r="27" spans="1:5" ht="30" x14ac:dyDescent="0.25">
      <c r="A27" s="28" t="s">
        <v>55</v>
      </c>
      <c r="B27" s="29" t="s">
        <v>36</v>
      </c>
      <c r="C27" s="29" t="s">
        <v>37</v>
      </c>
      <c r="D27" s="29" t="s">
        <v>38</v>
      </c>
      <c r="E27" s="29" t="s">
        <v>39</v>
      </c>
    </row>
    <row r="28" spans="1:5" x14ac:dyDescent="0.25">
      <c r="A28" s="13" t="s">
        <v>56</v>
      </c>
      <c r="B28" s="16">
        <v>110</v>
      </c>
      <c r="C28" s="16">
        <v>201.3</v>
      </c>
      <c r="D28" s="16">
        <v>180.4</v>
      </c>
      <c r="E28" s="16">
        <v>273.89999999999998</v>
      </c>
    </row>
    <row r="29" spans="1:5" x14ac:dyDescent="0.25">
      <c r="A29" s="32" t="s">
        <v>70</v>
      </c>
      <c r="B29" s="18"/>
      <c r="C29" s="18"/>
      <c r="D29" s="18"/>
      <c r="E29" s="18"/>
    </row>
  </sheetData>
  <mergeCells count="5">
    <mergeCell ref="A1:E1"/>
    <mergeCell ref="A2:E2"/>
    <mergeCell ref="A13:B13"/>
    <mergeCell ref="A18:B18"/>
    <mergeCell ref="A24:E2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DEEA0-0C63-4B96-BD5A-01E409DD725B}">
  <dimension ref="B1:C32"/>
  <sheetViews>
    <sheetView workbookViewId="0">
      <selection activeCell="E24" sqref="E24"/>
    </sheetView>
  </sheetViews>
  <sheetFormatPr defaultRowHeight="15" x14ac:dyDescent="0.25"/>
  <cols>
    <col min="2" max="2" width="12.28515625" bestFit="1" customWidth="1"/>
    <col min="3" max="3" width="14" bestFit="1" customWidth="1"/>
  </cols>
  <sheetData>
    <row r="1" spans="2:3" x14ac:dyDescent="0.25">
      <c r="B1" t="s">
        <v>59</v>
      </c>
      <c r="C1" t="s">
        <v>60</v>
      </c>
    </row>
    <row r="2" spans="2:3" x14ac:dyDescent="0.25">
      <c r="B2">
        <v>0</v>
      </c>
      <c r="C2">
        <v>0</v>
      </c>
    </row>
    <row r="3" spans="2:3" x14ac:dyDescent="0.25">
      <c r="B3">
        <v>100</v>
      </c>
      <c r="C3">
        <v>2500</v>
      </c>
    </row>
    <row r="4" spans="2:3" x14ac:dyDescent="0.25">
      <c r="B4">
        <v>200</v>
      </c>
      <c r="C4">
        <v>5000</v>
      </c>
    </row>
    <row r="5" spans="2:3" x14ac:dyDescent="0.25">
      <c r="B5">
        <v>300</v>
      </c>
      <c r="C5">
        <v>7500</v>
      </c>
    </row>
    <row r="6" spans="2:3" x14ac:dyDescent="0.25">
      <c r="B6">
        <v>400</v>
      </c>
      <c r="C6">
        <f>4*2500</f>
        <v>10000</v>
      </c>
    </row>
    <row r="7" spans="2:3" x14ac:dyDescent="0.25">
      <c r="B7">
        <v>500</v>
      </c>
      <c r="C7">
        <f>5*2500</f>
        <v>12500</v>
      </c>
    </row>
    <row r="8" spans="2:3" x14ac:dyDescent="0.25">
      <c r="B8">
        <v>600</v>
      </c>
      <c r="C8">
        <f>6*2500</f>
        <v>15000</v>
      </c>
    </row>
    <row r="9" spans="2:3" x14ac:dyDescent="0.25">
      <c r="B9">
        <v>700</v>
      </c>
      <c r="C9">
        <f>7*2500</f>
        <v>17500</v>
      </c>
    </row>
    <row r="10" spans="2:3" x14ac:dyDescent="0.25">
      <c r="B10">
        <v>800</v>
      </c>
      <c r="C10">
        <f>8*2500</f>
        <v>20000</v>
      </c>
    </row>
    <row r="11" spans="2:3" x14ac:dyDescent="0.25">
      <c r="B11">
        <v>900</v>
      </c>
      <c r="C11">
        <f>9*2500</f>
        <v>22500</v>
      </c>
    </row>
    <row r="12" spans="2:3" x14ac:dyDescent="0.25">
      <c r="B12">
        <v>1000</v>
      </c>
      <c r="C12">
        <f>10*2500</f>
        <v>25000</v>
      </c>
    </row>
    <row r="13" spans="2:3" x14ac:dyDescent="0.25">
      <c r="B13">
        <v>1100</v>
      </c>
      <c r="C13">
        <f>11*2500</f>
        <v>27500</v>
      </c>
    </row>
    <row r="14" spans="2:3" x14ac:dyDescent="0.25">
      <c r="B14">
        <v>1200</v>
      </c>
      <c r="C14">
        <f>12*2500</f>
        <v>30000</v>
      </c>
    </row>
    <row r="15" spans="2:3" x14ac:dyDescent="0.25">
      <c r="B15">
        <v>1300</v>
      </c>
      <c r="C15">
        <f>13*2500</f>
        <v>32500</v>
      </c>
    </row>
    <row r="16" spans="2:3" x14ac:dyDescent="0.25">
      <c r="B16">
        <v>1400</v>
      </c>
      <c r="C16">
        <f>14*2500</f>
        <v>35000</v>
      </c>
    </row>
    <row r="17" spans="2:3" x14ac:dyDescent="0.25">
      <c r="B17">
        <v>1500</v>
      </c>
      <c r="C17">
        <f>15*2500</f>
        <v>37500</v>
      </c>
    </row>
    <row r="18" spans="2:3" x14ac:dyDescent="0.25">
      <c r="B18">
        <v>1600</v>
      </c>
      <c r="C18">
        <f>16*2500</f>
        <v>40000</v>
      </c>
    </row>
    <row r="19" spans="2:3" x14ac:dyDescent="0.25">
      <c r="B19">
        <v>1700</v>
      </c>
      <c r="C19">
        <f>17*2500</f>
        <v>42500</v>
      </c>
    </row>
    <row r="20" spans="2:3" x14ac:dyDescent="0.25">
      <c r="B20">
        <v>1800</v>
      </c>
      <c r="C20">
        <f>18*2500</f>
        <v>45000</v>
      </c>
    </row>
    <row r="21" spans="2:3" x14ac:dyDescent="0.25">
      <c r="B21">
        <v>1900</v>
      </c>
      <c r="C21">
        <f>19*2500</f>
        <v>47500</v>
      </c>
    </row>
    <row r="22" spans="2:3" x14ac:dyDescent="0.25">
      <c r="B22">
        <v>2000</v>
      </c>
      <c r="C22">
        <f>20*2500</f>
        <v>50000</v>
      </c>
    </row>
    <row r="23" spans="2:3" x14ac:dyDescent="0.25">
      <c r="B23">
        <v>2100</v>
      </c>
      <c r="C23">
        <f>21*2500</f>
        <v>52500</v>
      </c>
    </row>
    <row r="24" spans="2:3" x14ac:dyDescent="0.25">
      <c r="B24">
        <v>2200</v>
      </c>
      <c r="C24">
        <f>22*2500</f>
        <v>55000</v>
      </c>
    </row>
    <row r="25" spans="2:3" x14ac:dyDescent="0.25">
      <c r="B25">
        <v>2300</v>
      </c>
      <c r="C25">
        <f>23*2500</f>
        <v>57500</v>
      </c>
    </row>
    <row r="26" spans="2:3" x14ac:dyDescent="0.25">
      <c r="B26">
        <v>2400</v>
      </c>
      <c r="C26">
        <f>24*2500</f>
        <v>60000</v>
      </c>
    </row>
    <row r="27" spans="2:3" x14ac:dyDescent="0.25">
      <c r="B27">
        <v>2500</v>
      </c>
      <c r="C27">
        <f>25*2500</f>
        <v>62500</v>
      </c>
    </row>
    <row r="28" spans="2:3" x14ac:dyDescent="0.25">
      <c r="B28">
        <v>2600</v>
      </c>
      <c r="C28">
        <f>26*2500</f>
        <v>65000</v>
      </c>
    </row>
    <row r="29" spans="2:3" x14ac:dyDescent="0.25">
      <c r="B29">
        <v>2700</v>
      </c>
      <c r="C29">
        <f>27*2500</f>
        <v>67500</v>
      </c>
    </row>
    <row r="30" spans="2:3" x14ac:dyDescent="0.25">
      <c r="B30">
        <v>2800</v>
      </c>
      <c r="C30">
        <f>28*2500</f>
        <v>70000</v>
      </c>
    </row>
    <row r="31" spans="2:3" x14ac:dyDescent="0.25">
      <c r="B31">
        <v>2900</v>
      </c>
      <c r="C31">
        <f>29*2500</f>
        <v>72500</v>
      </c>
    </row>
    <row r="32" spans="2:3" x14ac:dyDescent="0.25">
      <c r="B32">
        <v>3000</v>
      </c>
      <c r="C32">
        <f>30*2500</f>
        <v>75000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With Parsonage</vt:lpstr>
      <vt:lpstr>With Housing Allowance</vt:lpstr>
      <vt:lpstr>Health-Dental Rates NH</vt:lpstr>
      <vt:lpstr>Sheet1</vt:lpstr>
      <vt:lpstr>Membership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Lydia Frasca</dc:creator>
  <cp:lastModifiedBy>Lydia Frasca</cp:lastModifiedBy>
  <dcterms:created xsi:type="dcterms:W3CDTF">2020-10-28T18:27:57Z</dcterms:created>
  <dcterms:modified xsi:type="dcterms:W3CDTF">2025-12-02T21:45:48Z</dcterms:modified>
</cp:coreProperties>
</file>